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Specs" sheetId="2" r:id="rId1"/>
  </sheets>
  <definedNames>
    <definedName name="ChRmax1">Specs!$B$11</definedName>
    <definedName name="ChRmax2">Specs!$B$31</definedName>
    <definedName name="CHRmin1">Specs!$C$11</definedName>
    <definedName name="ChRmin2">Specs!$C$31</definedName>
    <definedName name="E2Ex">Specs!$B$35</definedName>
    <definedName name="E2Ex1">Specs!$B$15</definedName>
    <definedName name="E2Ex2">Specs!$B$35</definedName>
    <definedName name="E2Ey1">Specs!$B$16</definedName>
    <definedName name="E2Ey2">Specs!$B$36</definedName>
    <definedName name="PDRmax1">Specs!$B$12</definedName>
    <definedName name="PDRmax2">Specs!$B$30</definedName>
    <definedName name="PDRmin1">Specs!$C$12</definedName>
    <definedName name="PDRmin2">Specs!$C$30</definedName>
    <definedName name="PDRUNB">Specs!$D$30</definedName>
    <definedName name="PI_P2PRunb1">Specs!$D$10</definedName>
    <definedName name="PSERmax1">Specs!$B$10</definedName>
    <definedName name="PSERmax2">Specs!$B$32</definedName>
    <definedName name="PSERmin1">Specs!$C$10</definedName>
    <definedName name="PSERmin2">Specs!$C$32</definedName>
    <definedName name="PSERUNB">Specs!$D$10</definedName>
  </definedNames>
  <calcPr calcId="145621"/>
</workbook>
</file>

<file path=xl/calcChain.xml><?xml version="1.0" encoding="utf-8"?>
<calcChain xmlns="http://schemas.openxmlformats.org/spreadsheetml/2006/main">
  <c r="C32" i="2" l="1"/>
  <c r="B32" i="2"/>
  <c r="C31" i="2"/>
  <c r="B31" i="2"/>
  <c r="C30" i="2"/>
  <c r="B30" i="2"/>
  <c r="J7" i="2"/>
  <c r="J31" i="2" l="1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11" i="2"/>
  <c r="D30" i="2" l="1"/>
  <c r="J27" i="2" s="1"/>
  <c r="D10" i="2"/>
  <c r="K19" i="2" s="1"/>
  <c r="L19" i="2" s="1"/>
  <c r="K32" i="2" l="1"/>
  <c r="L32" i="2" s="1"/>
  <c r="K31" i="2"/>
  <c r="K12" i="2"/>
  <c r="K17" i="2"/>
  <c r="L17" i="2" s="1"/>
  <c r="K21" i="2"/>
  <c r="L21" i="2" s="1"/>
  <c r="K25" i="2"/>
  <c r="L25" i="2" s="1"/>
  <c r="K11" i="2"/>
  <c r="L11" i="2" s="1"/>
  <c r="K16" i="2"/>
  <c r="M16" i="2" s="1"/>
  <c r="K14" i="2"/>
  <c r="M14" i="2" s="1"/>
  <c r="K20" i="2"/>
  <c r="M20" i="2" s="1"/>
  <c r="K23" i="2"/>
  <c r="L23" i="2" s="1"/>
  <c r="K41" i="2"/>
  <c r="L41" i="2" s="1"/>
  <c r="K38" i="2"/>
  <c r="L38" i="2" s="1"/>
  <c r="K36" i="2"/>
  <c r="L36" i="2" s="1"/>
  <c r="K44" i="2"/>
  <c r="L44" i="2" s="1"/>
  <c r="K13" i="2"/>
  <c r="L13" i="2" s="1"/>
  <c r="K35" i="2"/>
  <c r="L35" i="2" s="1"/>
  <c r="K22" i="2"/>
  <c r="K18" i="2"/>
  <c r="L16" i="2"/>
  <c r="K43" i="2"/>
  <c r="L43" i="2" s="1"/>
  <c r="K24" i="2"/>
  <c r="K45" i="2"/>
  <c r="L45" i="2" s="1"/>
  <c r="K34" i="2"/>
  <c r="M21" i="2"/>
  <c r="K42" i="2"/>
  <c r="L42" i="2" s="1"/>
  <c r="K40" i="2"/>
  <c r="L40" i="2" s="1"/>
  <c r="K15" i="2"/>
  <c r="K33" i="2"/>
  <c r="L33" i="2" s="1"/>
  <c r="K39" i="2"/>
  <c r="L39" i="2" s="1"/>
  <c r="K37" i="2"/>
  <c r="L37" i="2" s="1"/>
  <c r="M19" i="2"/>
  <c r="B34" i="2"/>
  <c r="B35" i="2" s="1"/>
  <c r="E27" i="2" s="1"/>
  <c r="M32" i="2" l="1"/>
  <c r="M31" i="2"/>
  <c r="L31" i="2"/>
  <c r="M17" i="2"/>
  <c r="M11" i="2"/>
  <c r="M34" i="2"/>
  <c r="L34" i="2"/>
  <c r="M25" i="2"/>
  <c r="L20" i="2"/>
  <c r="L12" i="2"/>
  <c r="M12" i="2"/>
  <c r="M40" i="2"/>
  <c r="M13" i="2"/>
  <c r="L14" i="2"/>
  <c r="M23" i="2"/>
  <c r="M36" i="2"/>
  <c r="M44" i="2"/>
  <c r="M45" i="2"/>
  <c r="M18" i="2"/>
  <c r="L18" i="2"/>
  <c r="M35" i="2"/>
  <c r="M42" i="2"/>
  <c r="M33" i="2"/>
  <c r="M24" i="2"/>
  <c r="L24" i="2"/>
  <c r="M22" i="2"/>
  <c r="L22" i="2"/>
  <c r="M39" i="2"/>
  <c r="L15" i="2"/>
  <c r="M15" i="2"/>
  <c r="M43" i="2"/>
  <c r="M38" i="2"/>
  <c r="M37" i="2"/>
  <c r="M41" i="2"/>
  <c r="B36" i="2"/>
  <c r="F27" i="2" s="1"/>
  <c r="B14" i="2"/>
  <c r="B15" i="2" s="1"/>
  <c r="E7" i="2" s="1"/>
  <c r="F44" i="2" l="1"/>
  <c r="H44" i="2" s="1"/>
  <c r="F42" i="2"/>
  <c r="G42" i="2" s="1"/>
  <c r="O42" i="2" s="1"/>
  <c r="F34" i="2"/>
  <c r="G34" i="2" s="1"/>
  <c r="O34" i="2" s="1"/>
  <c r="F37" i="2"/>
  <c r="H37" i="2" s="1"/>
  <c r="G44" i="2"/>
  <c r="O44" i="2" s="1"/>
  <c r="F43" i="2"/>
  <c r="F35" i="2"/>
  <c r="G35" i="2" s="1"/>
  <c r="O35" i="2" s="1"/>
  <c r="F40" i="2"/>
  <c r="F32" i="2"/>
  <c r="G32" i="2" s="1"/>
  <c r="O32" i="2" s="1"/>
  <c r="F41" i="2"/>
  <c r="F33" i="2"/>
  <c r="G33" i="2" s="1"/>
  <c r="O33" i="2" s="1"/>
  <c r="F38" i="2"/>
  <c r="F45" i="2"/>
  <c r="F39" i="2"/>
  <c r="F31" i="2"/>
  <c r="G31" i="2" s="1"/>
  <c r="O31" i="2" s="1"/>
  <c r="F36" i="2"/>
  <c r="B16" i="2"/>
  <c r="F14" i="2" l="1"/>
  <c r="G14" i="2" s="1"/>
  <c r="O14" i="2" s="1"/>
  <c r="F7" i="2"/>
  <c r="G37" i="2"/>
  <c r="O37" i="2" s="1"/>
  <c r="F23" i="2"/>
  <c r="G23" i="2" s="1"/>
  <c r="O23" i="2" s="1"/>
  <c r="F16" i="2"/>
  <c r="G16" i="2" s="1"/>
  <c r="O16" i="2" s="1"/>
  <c r="F17" i="2"/>
  <c r="H17" i="2" s="1"/>
  <c r="H42" i="2"/>
  <c r="F21" i="2"/>
  <c r="H21" i="2" s="1"/>
  <c r="F20" i="2"/>
  <c r="H20" i="2" s="1"/>
  <c r="F13" i="2"/>
  <c r="G13" i="2" s="1"/>
  <c r="O13" i="2" s="1"/>
  <c r="F12" i="2"/>
  <c r="G12" i="2" s="1"/>
  <c r="O12" i="2" s="1"/>
  <c r="H31" i="2"/>
  <c r="F19" i="2"/>
  <c r="F25" i="2"/>
  <c r="F18" i="2"/>
  <c r="F24" i="2"/>
  <c r="H41" i="2"/>
  <c r="G41" i="2"/>
  <c r="O41" i="2" s="1"/>
  <c r="G43" i="2"/>
  <c r="O43" i="2" s="1"/>
  <c r="H43" i="2"/>
  <c r="G36" i="2"/>
  <c r="O36" i="2" s="1"/>
  <c r="H36" i="2"/>
  <c r="H39" i="2"/>
  <c r="G39" i="2"/>
  <c r="O39" i="2" s="1"/>
  <c r="H45" i="2"/>
  <c r="G45" i="2"/>
  <c r="O45" i="2" s="1"/>
  <c r="H35" i="2"/>
  <c r="F11" i="2"/>
  <c r="G11" i="2" s="1"/>
  <c r="O11" i="2" s="1"/>
  <c r="F15" i="2"/>
  <c r="G15" i="2" s="1"/>
  <c r="O15" i="2" s="1"/>
  <c r="F22" i="2"/>
  <c r="G38" i="2"/>
  <c r="O38" i="2" s="1"/>
  <c r="H38" i="2"/>
  <c r="G40" i="2"/>
  <c r="O40" i="2" s="1"/>
  <c r="H40" i="2"/>
  <c r="H33" i="2"/>
  <c r="H32" i="2"/>
  <c r="H34" i="2"/>
  <c r="G17" i="2" l="1"/>
  <c r="O17" i="2" s="1"/>
  <c r="H16" i="2"/>
  <c r="H23" i="2"/>
  <c r="G20" i="2"/>
  <c r="O20" i="2" s="1"/>
  <c r="G21" i="2"/>
  <c r="O21" i="2" s="1"/>
  <c r="H12" i="2"/>
  <c r="G22" i="2"/>
  <c r="O22" i="2" s="1"/>
  <c r="H22" i="2"/>
  <c r="G25" i="2"/>
  <c r="O25" i="2" s="1"/>
  <c r="H25" i="2"/>
  <c r="G19" i="2"/>
  <c r="O19" i="2" s="1"/>
  <c r="H19" i="2"/>
  <c r="H24" i="2"/>
  <c r="G24" i="2"/>
  <c r="O24" i="2" s="1"/>
  <c r="G18" i="2"/>
  <c r="O18" i="2" s="1"/>
  <c r="H18" i="2"/>
  <c r="H13" i="2"/>
  <c r="H11" i="2"/>
  <c r="H14" i="2"/>
  <c r="H15" i="2"/>
</calcChain>
</file>

<file path=xl/sharedStrings.xml><?xml version="1.0" encoding="utf-8"?>
<sst xmlns="http://schemas.openxmlformats.org/spreadsheetml/2006/main" count="77" uniqueCount="39">
  <si>
    <t>Channel</t>
  </si>
  <si>
    <t>PSE</t>
  </si>
  <si>
    <t>PD</t>
  </si>
  <si>
    <t>Rmax</t>
  </si>
  <si>
    <t>Rmin</t>
  </si>
  <si>
    <t>E2E-P2PRunb</t>
  </si>
  <si>
    <t>PSE PI P2PRunb</t>
  </si>
  <si>
    <t>X</t>
  </si>
  <si>
    <t>Y</t>
  </si>
  <si>
    <t>PSE Rmin</t>
  </si>
  <si>
    <t>E2E P2PRunb</t>
  </si>
  <si>
    <t>PSE Rmax</t>
  </si>
  <si>
    <t>Variable</t>
  </si>
  <si>
    <t>Check</t>
  </si>
  <si>
    <t>Worst Case Model Values</t>
  </si>
  <si>
    <t>PD Rmin</t>
  </si>
  <si>
    <t>PD Rmax</t>
  </si>
  <si>
    <t xml:space="preserve">PD PI </t>
  </si>
  <si>
    <t>PI P2PRunb</t>
  </si>
  <si>
    <t>Red Coloring</t>
  </si>
  <si>
    <t>Neutral Coloring</t>
  </si>
  <si>
    <t>PD PI P2PRunb</t>
  </si>
  <si>
    <t>Limit</t>
  </si>
  <si>
    <t>Compare</t>
  </si>
  <si>
    <t>PSE Rmax &lt; PSE Rmin * X  +  Y</t>
  </si>
  <si>
    <t>PD Rmax &lt; PD Rmin * X  +  Y</t>
  </si>
  <si>
    <t>Green Background</t>
  </si>
  <si>
    <t>User-Entered effective resistances from final Worst case model</t>
  </si>
  <si>
    <t>Yellow Background</t>
  </si>
  <si>
    <t>User-Entered list of PI P2P Rmin values for verification and comparison</t>
  </si>
  <si>
    <t xml:space="preserve">            All other cells are locked.  Values in other cells are calculated with the user entries.</t>
  </si>
  <si>
    <t>Indicates a potential failure in pair current for a passing PI P2PRunb Specification</t>
  </si>
  <si>
    <t>Indicates PI P2PRunb Specification failures which meet system current balance requirements</t>
  </si>
  <si>
    <t>(Graph)</t>
  </si>
  <si>
    <t xml:space="preserve"> % Diff</t>
  </si>
  <si>
    <t>P2PRunb =</t>
  </si>
  <si>
    <t xml:space="preserve">Rmax  &lt; </t>
  </si>
  <si>
    <t xml:space="preserve">PSE PI </t>
  </si>
  <si>
    <t>(Rmin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</si>
</sst>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"/>
  </numFmts>
  <fonts count="2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4"/>
      <color rgb="FF9C650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28"/>
      <color theme="8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2" fillId="0" borderId="0" xfId="0" applyFont="1" applyBorder="1"/>
    <xf numFmtId="0" fontId="2" fillId="0" borderId="8" xfId="0" applyFont="1" applyBorder="1"/>
    <xf numFmtId="0" fontId="0" fillId="0" borderId="5" xfId="0" applyBorder="1"/>
    <xf numFmtId="164" fontId="11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15" fillId="3" borderId="0" xfId="1" applyFont="1" applyAlignment="1">
      <alignment horizontal="center"/>
    </xf>
    <xf numFmtId="0" fontId="16" fillId="4" borderId="0" xfId="2" applyFont="1" applyAlignment="1">
      <alignment horizontal="center"/>
    </xf>
    <xf numFmtId="0" fontId="17" fillId="0" borderId="0" xfId="0" applyFont="1"/>
    <xf numFmtId="0" fontId="18" fillId="0" borderId="0" xfId="0" applyFont="1"/>
    <xf numFmtId="0" fontId="7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0" xfId="0" applyFont="1" applyBorder="1"/>
    <xf numFmtId="0" fontId="0" fillId="0" borderId="12" xfId="0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64" fontId="4" fillId="0" borderId="22" xfId="0" applyNumberFormat="1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4" fontId="11" fillId="0" borderId="23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0" fillId="0" borderId="0" xfId="0" applyFill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</xf>
    <xf numFmtId="0" fontId="2" fillId="7" borderId="6" xfId="0" applyFont="1" applyFill="1" applyBorder="1" applyProtection="1">
      <protection locked="0"/>
    </xf>
    <xf numFmtId="0" fontId="21" fillId="7" borderId="0" xfId="2" applyFont="1" applyFill="1" applyAlignment="1">
      <alignment horizontal="center"/>
    </xf>
    <xf numFmtId="0" fontId="22" fillId="0" borderId="0" xfId="0" applyFont="1"/>
    <xf numFmtId="0" fontId="21" fillId="2" borderId="0" xfId="2" applyFont="1" applyFill="1" applyAlignment="1">
      <alignment horizontal="center"/>
    </xf>
    <xf numFmtId="0" fontId="23" fillId="0" borderId="0" xfId="2" applyFont="1" applyFill="1" applyAlignment="1">
      <alignment horizontal="left"/>
    </xf>
    <xf numFmtId="164" fontId="3" fillId="0" borderId="0" xfId="0" applyNumberFormat="1" applyFont="1" applyBorder="1" applyAlignment="1">
      <alignment horizontal="center"/>
    </xf>
    <xf numFmtId="165" fontId="24" fillId="0" borderId="0" xfId="0" applyNumberFormat="1" applyFont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2" fontId="24" fillId="9" borderId="25" xfId="0" applyNumberFormat="1" applyFont="1" applyFill="1" applyBorder="1" applyAlignment="1">
      <alignment horizontal="center"/>
    </xf>
    <xf numFmtId="2" fontId="24" fillId="9" borderId="26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4" xfId="0" applyFont="1" applyBorder="1"/>
    <xf numFmtId="0" fontId="20" fillId="6" borderId="9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6" fillId="6" borderId="10" xfId="0" applyFont="1" applyFill="1" applyBorder="1" applyAlignment="1">
      <alignment horizontal="left"/>
    </xf>
    <xf numFmtId="0" fontId="27" fillId="6" borderId="10" xfId="0" applyFont="1" applyFill="1" applyBorder="1" applyAlignment="1">
      <alignment horizontal="center"/>
    </xf>
    <xf numFmtId="166" fontId="26" fillId="6" borderId="10" xfId="0" applyNumberFormat="1" applyFont="1" applyFill="1" applyBorder="1" applyAlignment="1">
      <alignment horizontal="center"/>
    </xf>
    <xf numFmtId="2" fontId="26" fillId="6" borderId="10" xfId="0" applyNumberFormat="1" applyFont="1" applyFill="1" applyBorder="1" applyAlignment="1">
      <alignment horizontal="left"/>
    </xf>
    <xf numFmtId="2" fontId="27" fillId="6" borderId="10" xfId="0" applyNumberFormat="1" applyFont="1" applyFill="1" applyBorder="1" applyAlignment="1">
      <alignment horizontal="center"/>
    </xf>
    <xf numFmtId="0" fontId="2" fillId="10" borderId="6" xfId="0" applyFont="1" applyFill="1" applyBorder="1" applyProtection="1"/>
    <xf numFmtId="0" fontId="19" fillId="5" borderId="9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19" fillId="5" borderId="27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28" xfId="0" applyFont="1" applyFill="1" applyBorder="1" applyAlignment="1">
      <alignment horizontal="center"/>
    </xf>
    <xf numFmtId="0" fontId="25" fillId="6" borderId="10" xfId="0" applyFont="1" applyFill="1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Bad" xfId="1" builtinId="27"/>
    <cellStyle name="Neutral" xfId="2" builtinId="2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7030A0"/>
                </a:solidFill>
              </a:defRPr>
            </a:pPr>
            <a:r>
              <a:rPr lang="en-US" sz="1200">
                <a:solidFill>
                  <a:srgbClr val="7030A0"/>
                </a:solidFill>
              </a:rPr>
              <a:t>E2E P2PRunb Target vs PI P2PRunb Limit</a:t>
            </a:r>
          </a:p>
        </c:rich>
      </c:tx>
      <c:layout>
        <c:manualLayout>
          <c:xMode val="edge"/>
          <c:yMode val="edge"/>
          <c:x val="7.5983139287008495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41110585699519"/>
          <c:y val="0.28541547157337094"/>
          <c:w val="0.731562176963512"/>
          <c:h val="0.647902696981720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Specs!$J$11:$J$25</c:f>
              <c:numCache>
                <c:formatCode>General</c:formatCode>
                <c:ptCount val="15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</c:numCache>
            </c:numRef>
          </c:cat>
          <c:val>
            <c:numRef>
              <c:f>Specs!$O$11:$O$25</c:f>
              <c:numCache>
                <c:formatCode>0.00</c:formatCode>
                <c:ptCount val="15"/>
                <c:pt idx="0">
                  <c:v>-1.0101305130470681</c:v>
                </c:pt>
                <c:pt idx="1">
                  <c:v>0.89862134933930848</c:v>
                </c:pt>
                <c:pt idx="2">
                  <c:v>2.6738056526442842</c:v>
                </c:pt>
                <c:pt idx="3">
                  <c:v>4.3289683125630898</c:v>
                </c:pt>
                <c:pt idx="4">
                  <c:v>5.8758834407568354</c:v>
                </c:pt>
                <c:pt idx="5">
                  <c:v>7.3248338616378819</c:v>
                </c:pt>
                <c:pt idx="6">
                  <c:v>8.684839970301951</c:v>
                </c:pt>
                <c:pt idx="7">
                  <c:v>9.9638476999337602</c:v>
                </c:pt>
                <c:pt idx="8">
                  <c:v>11.168883875866808</c:v>
                </c:pt>
                <c:pt idx="9">
                  <c:v>12.306185372443231</c:v>
                </c:pt>
                <c:pt idx="10">
                  <c:v>13.381307085661327</c:v>
                </c:pt>
                <c:pt idx="11">
                  <c:v>14.399212667466941</c:v>
                </c:pt>
                <c:pt idx="12">
                  <c:v>15.364351149348119</c:v>
                </c:pt>
                <c:pt idx="13">
                  <c:v>16.280721950742034</c:v>
                </c:pt>
                <c:pt idx="14">
                  <c:v>17.151930275806667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Specs!$N$11:$N$25</c:f>
              <c:numCache>
                <c:formatCode>General</c:formatCode>
                <c:ptCount val="1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99616"/>
        <c:axId val="60401536"/>
      </c:lineChart>
      <c:catAx>
        <c:axId val="603996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050"/>
                  <a:t>Pair minimum Resistance (Ohms) </a:t>
                </a:r>
              </a:p>
            </c:rich>
          </c:tx>
          <c:layout>
            <c:manualLayout>
              <c:xMode val="edge"/>
              <c:yMode val="edge"/>
              <c:x val="0.23911815702425981"/>
              <c:y val="0.100000047291408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60401536"/>
        <c:crosses val="max"/>
        <c:auto val="1"/>
        <c:lblAlgn val="ctr"/>
        <c:lblOffset val="100"/>
        <c:noMultiLvlLbl val="0"/>
      </c:catAx>
      <c:valAx>
        <c:axId val="60401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Difference (%) </a:t>
                </a:r>
              </a:p>
            </c:rich>
          </c:tx>
          <c:layout>
            <c:manualLayout>
              <c:xMode val="edge"/>
              <c:yMode val="edge"/>
              <c:x val="1.7457716585655529E-2"/>
              <c:y val="0.39451675038034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0399616"/>
        <c:crosses val="autoZero"/>
        <c:crossBetween val="midCat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rgbClr val="7030A0"/>
                </a:solidFill>
              </a:rPr>
              <a:t>E2E P2PRunb Target  vs  PI P2PRunb Limit</a:t>
            </a:r>
          </a:p>
        </c:rich>
      </c:tx>
      <c:layout>
        <c:manualLayout>
          <c:xMode val="edge"/>
          <c:yMode val="edge"/>
          <c:x val="1.1371665358550434E-2"/>
          <c:y val="1.2176560121765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32187254728208"/>
          <c:y val="0.28695070650415272"/>
          <c:w val="0.72319045328337173"/>
          <c:h val="0.6454540442718632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Specs!$J$31:$J$45</c:f>
              <c:numCache>
                <c:formatCode>General</c:formatCode>
                <c:ptCount val="15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</c:numCache>
            </c:numRef>
          </c:cat>
          <c:val>
            <c:numRef>
              <c:f>Specs!$O$31:$O$45</c:f>
              <c:numCache>
                <c:formatCode>0.00</c:formatCode>
                <c:ptCount val="15"/>
                <c:pt idx="0">
                  <c:v>21.72986714969355</c:v>
                </c:pt>
                <c:pt idx="1">
                  <c:v>8.7168088704620175</c:v>
                </c:pt>
                <c:pt idx="2">
                  <c:v>2.6772345809248193</c:v>
                </c:pt>
                <c:pt idx="3">
                  <c:v>-0.80977095547277012</c:v>
                </c:pt>
                <c:pt idx="4">
                  <c:v>-3.0801289621048102</c:v>
                </c:pt>
                <c:pt idx="5">
                  <c:v>-4.6760050755252749</c:v>
                </c:pt>
                <c:pt idx="6">
                  <c:v>-5.8590916604892005</c:v>
                </c:pt>
                <c:pt idx="7">
                  <c:v>-6.7712057964238088</c:v>
                </c:pt>
                <c:pt idx="8">
                  <c:v>-7.4958765091119002</c:v>
                </c:pt>
                <c:pt idx="9">
                  <c:v>-8.0855005743350876</c:v>
                </c:pt>
                <c:pt idx="10">
                  <c:v>-8.5746104351939625</c:v>
                </c:pt>
                <c:pt idx="11">
                  <c:v>-8.9868896421512616</c:v>
                </c:pt>
                <c:pt idx="12">
                  <c:v>-9.3391230317855349</c:v>
                </c:pt>
                <c:pt idx="13">
                  <c:v>-9.6435381066928922</c:v>
                </c:pt>
                <c:pt idx="14">
                  <c:v>-9.9092534493424953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3824"/>
        <c:axId val="66142208"/>
      </c:lineChart>
      <c:catAx>
        <c:axId val="604138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100"/>
                  <a:t>Pair minimum Resistance (Ohms) </a:t>
                </a:r>
              </a:p>
            </c:rich>
          </c:tx>
          <c:layout>
            <c:manualLayout>
              <c:xMode val="edge"/>
              <c:yMode val="edge"/>
              <c:x val="0.25272423591679138"/>
              <c:y val="0.110887714378168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66142208"/>
        <c:crosses val="max"/>
        <c:auto val="1"/>
        <c:lblAlgn val="ctr"/>
        <c:lblOffset val="100"/>
        <c:noMultiLvlLbl val="0"/>
      </c:catAx>
      <c:valAx>
        <c:axId val="66142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Difference (%) </a:t>
                </a:r>
              </a:p>
            </c:rich>
          </c:tx>
          <c:layout>
            <c:manualLayout>
              <c:xMode val="edge"/>
              <c:yMode val="edge"/>
              <c:x val="8.5744908896034297E-3"/>
              <c:y val="0.40101727010151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60413824"/>
        <c:crosses val="autoZero"/>
        <c:crossBetween val="midCat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16</xdr:row>
      <xdr:rowOff>19050</xdr:rowOff>
    </xdr:from>
    <xdr:to>
      <xdr:col>3</xdr:col>
      <xdr:colOff>542925</xdr:colOff>
      <xdr:row>24</xdr:row>
      <xdr:rowOff>228599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36</xdr:row>
      <xdr:rowOff>47624</xdr:rowOff>
    </xdr:from>
    <xdr:to>
      <xdr:col>3</xdr:col>
      <xdr:colOff>523875</xdr:colOff>
      <xdr:row>44</xdr:row>
      <xdr:rowOff>228599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topLeftCell="A19" zoomScaleNormal="100" workbookViewId="0">
      <selection activeCell="C30" sqref="C30"/>
    </sheetView>
  </sheetViews>
  <sheetFormatPr defaultRowHeight="15" x14ac:dyDescent="0.25"/>
  <cols>
    <col min="1" max="1" width="22.140625" style="2" customWidth="1"/>
    <col min="2" max="2" width="10.7109375" customWidth="1"/>
    <col min="3" max="3" width="11.28515625" customWidth="1"/>
    <col min="4" max="4" width="13.140625" customWidth="1"/>
    <col min="5" max="5" width="10.85546875" customWidth="1"/>
    <col min="6" max="6" width="11.28515625" customWidth="1"/>
    <col min="7" max="7" width="14.140625" customWidth="1"/>
    <col min="8" max="8" width="16.28515625" customWidth="1"/>
    <col min="9" max="9" width="2.85546875" customWidth="1"/>
    <col min="10" max="10" width="11.7109375" customWidth="1"/>
    <col min="11" max="11" width="11.28515625" customWidth="1"/>
    <col min="12" max="12" width="14.140625" customWidth="1"/>
    <col min="13" max="13" width="16.28515625" customWidth="1"/>
    <col min="14" max="14" width="3" customWidth="1"/>
    <col min="15" max="15" width="10.140625" customWidth="1"/>
  </cols>
  <sheetData>
    <row r="1" spans="1:15" ht="18.75" x14ac:dyDescent="0.3">
      <c r="A1" s="49" t="s">
        <v>26</v>
      </c>
      <c r="B1" s="50" t="s">
        <v>27</v>
      </c>
    </row>
    <row r="2" spans="1:15" ht="18.75" x14ac:dyDescent="0.3">
      <c r="A2" s="51" t="s">
        <v>28</v>
      </c>
      <c r="B2" s="50" t="s">
        <v>29</v>
      </c>
    </row>
    <row r="3" spans="1:15" ht="18.75" x14ac:dyDescent="0.3">
      <c r="A3" s="52" t="s">
        <v>30</v>
      </c>
      <c r="B3" s="50"/>
    </row>
    <row r="4" spans="1:15" ht="18.75" x14ac:dyDescent="0.3">
      <c r="A4" s="18" t="s">
        <v>19</v>
      </c>
      <c r="B4" s="20" t="s">
        <v>31</v>
      </c>
    </row>
    <row r="5" spans="1:15" ht="18.75" x14ac:dyDescent="0.3">
      <c r="A5" s="19" t="s">
        <v>20</v>
      </c>
      <c r="B5" s="21" t="s">
        <v>32</v>
      </c>
    </row>
    <row r="7" spans="1:15" s="1" customFormat="1" ht="30.75" customHeight="1" x14ac:dyDescent="0.55000000000000004">
      <c r="A7" s="61" t="s">
        <v>37</v>
      </c>
      <c r="B7" s="78" t="s">
        <v>36</v>
      </c>
      <c r="C7" s="79"/>
      <c r="D7" s="65" t="s">
        <v>38</v>
      </c>
      <c r="E7" s="68" t="str">
        <f>CONCATENATE(ROUND(E2Ex1,3)&amp;")")</f>
        <v>1.633)</v>
      </c>
      <c r="F7" s="64" t="str">
        <f>CONCATENATE("+ "&amp;ROUND(E2Ey1,3))</f>
        <v>+ -0.028</v>
      </c>
      <c r="G7" s="62"/>
      <c r="H7" s="64" t="s">
        <v>35</v>
      </c>
      <c r="I7" s="62"/>
      <c r="J7" s="66">
        <f>PSERUNB</f>
        <v>0.11627906976744189</v>
      </c>
      <c r="K7" s="62"/>
      <c r="L7" s="62"/>
      <c r="M7" s="63"/>
    </row>
    <row r="8" spans="1:15" s="1" customFormat="1" ht="24" customHeight="1" x14ac:dyDescent="0.5">
      <c r="A8" s="25" t="s">
        <v>14</v>
      </c>
      <c r="B8" s="4"/>
      <c r="C8" s="5"/>
      <c r="D8" s="26"/>
      <c r="E8" s="70" t="s">
        <v>24</v>
      </c>
      <c r="F8" s="71"/>
      <c r="G8" s="71"/>
      <c r="H8" s="72"/>
      <c r="I8" s="8"/>
      <c r="J8" s="70" t="s">
        <v>6</v>
      </c>
      <c r="K8" s="71"/>
      <c r="L8" s="71"/>
      <c r="M8" s="76"/>
    </row>
    <row r="9" spans="1:15" ht="24" customHeight="1" x14ac:dyDescent="0.35">
      <c r="A9" s="27"/>
      <c r="B9" s="6" t="s">
        <v>3</v>
      </c>
      <c r="C9" s="7" t="s">
        <v>4</v>
      </c>
      <c r="D9" s="28" t="s">
        <v>18</v>
      </c>
      <c r="E9" s="22" t="s">
        <v>12</v>
      </c>
      <c r="F9" s="22" t="s">
        <v>22</v>
      </c>
      <c r="G9" s="22" t="s">
        <v>13</v>
      </c>
      <c r="H9" s="22" t="s">
        <v>23</v>
      </c>
      <c r="I9" s="8"/>
      <c r="J9" s="22" t="s">
        <v>12</v>
      </c>
      <c r="K9" s="22" t="s">
        <v>22</v>
      </c>
      <c r="L9" s="22" t="s">
        <v>23</v>
      </c>
      <c r="M9" s="29" t="s">
        <v>13</v>
      </c>
      <c r="O9" s="55" t="s">
        <v>33</v>
      </c>
    </row>
    <row r="10" spans="1:15" ht="21" x14ac:dyDescent="0.35">
      <c r="A10" s="30" t="s">
        <v>1</v>
      </c>
      <c r="B10" s="48">
        <v>9.6000000000000002E-2</v>
      </c>
      <c r="C10" s="48">
        <v>7.5999999999999998E-2</v>
      </c>
      <c r="D10" s="53">
        <f>(B10-C10)/(B10+C10)</f>
        <v>0.11627906976744189</v>
      </c>
      <c r="E10" s="23" t="s">
        <v>9</v>
      </c>
      <c r="F10" s="23" t="s">
        <v>11</v>
      </c>
      <c r="G10" s="23" t="s">
        <v>10</v>
      </c>
      <c r="H10" s="24" t="s">
        <v>6</v>
      </c>
      <c r="I10" s="8"/>
      <c r="J10" s="23" t="s">
        <v>9</v>
      </c>
      <c r="K10" s="23" t="s">
        <v>11</v>
      </c>
      <c r="L10" s="23" t="s">
        <v>10</v>
      </c>
      <c r="M10" s="31" t="s">
        <v>6</v>
      </c>
      <c r="O10" s="56" t="s">
        <v>34</v>
      </c>
    </row>
    <row r="11" spans="1:15" ht="21" x14ac:dyDescent="0.35">
      <c r="A11" s="30" t="s">
        <v>0</v>
      </c>
      <c r="B11" s="48">
        <v>0.17399999999999999</v>
      </c>
      <c r="C11" s="48">
        <v>0.158</v>
      </c>
      <c r="D11" s="28"/>
      <c r="E11" s="45">
        <v>0.05</v>
      </c>
      <c r="F11" s="14">
        <f t="shared" ref="F11:F25" si="0">E2Ex1*E11+E2Ey1</f>
        <v>5.3540997681806576E-2</v>
      </c>
      <c r="G11" s="15">
        <f t="shared" ref="G11:G25" si="1">(SUM(ChRmax1,PDRmax1,F11)-SUM(CHRmin1,PDRmin1,E11))/SUM(ChRmax1,CHRmin1,PDRmax1,PDRmin1,E11:F11)</f>
        <v>0.24042129976848078</v>
      </c>
      <c r="H11" s="16">
        <f>(F11-E11)/(F11+E11)</f>
        <v>3.4198991327942074E-2</v>
      </c>
      <c r="I11" s="8"/>
      <c r="J11" s="47">
        <f>E11</f>
        <v>0.05</v>
      </c>
      <c r="K11" s="14">
        <f t="shared" ref="K11:K25" si="2">J11*((1+PSERUNB)/(1-PSERUNB))</f>
        <v>6.3157894736842107E-2</v>
      </c>
      <c r="L11" s="15">
        <f t="shared" ref="L11:L25" si="3">(SUM(ChRmax1,PDRmax1,K11)-SUM(CHRmin1,PDRmin1,J11))/SUM(ChRmax1,PDRmax1,CHRmin1,PDRmin1,J11:K11)</f>
        <v>0.24284986867730657</v>
      </c>
      <c r="M11" s="32">
        <f>(K11-J11)/(K11+J11)</f>
        <v>0.11627906976744184</v>
      </c>
      <c r="O11" s="57">
        <f>100*(G11-L11)/G11</f>
        <v>-1.0101305130470681</v>
      </c>
    </row>
    <row r="12" spans="1:15" ht="21" x14ac:dyDescent="0.35">
      <c r="A12" s="30" t="s">
        <v>2</v>
      </c>
      <c r="B12" s="48">
        <v>1.6319999999999999</v>
      </c>
      <c r="C12" s="48">
        <v>0.93069999999999997</v>
      </c>
      <c r="D12" s="28"/>
      <c r="E12" s="45">
        <v>0.1</v>
      </c>
      <c r="F12" s="17">
        <f t="shared" si="0"/>
        <v>0.13519292521679413</v>
      </c>
      <c r="G12" s="3">
        <f t="shared" si="1"/>
        <v>0.2404212997684807</v>
      </c>
      <c r="H12" s="13">
        <f t="shared" ref="H12:H15" si="4">(F12-E12)/(F12+E12)</f>
        <v>0.14963428506344009</v>
      </c>
      <c r="I12" s="8"/>
      <c r="J12" s="47">
        <f t="shared" ref="J12:J25" si="5">E12</f>
        <v>0.1</v>
      </c>
      <c r="K12" s="17">
        <f t="shared" si="2"/>
        <v>0.12631578947368421</v>
      </c>
      <c r="L12" s="3">
        <f t="shared" si="3"/>
        <v>0.23826082264040208</v>
      </c>
      <c r="M12" s="33">
        <f t="shared" ref="M12:M15" si="6">(K12-J12)/(K12+J12)</f>
        <v>0.11627906976744184</v>
      </c>
      <c r="O12" s="57">
        <f t="shared" ref="O12:O45" si="7">100*(G12-L12)/G12</f>
        <v>0.89862134933930848</v>
      </c>
    </row>
    <row r="13" spans="1:15" ht="21" x14ac:dyDescent="0.35">
      <c r="A13" s="34"/>
      <c r="B13" s="8"/>
      <c r="C13" s="9"/>
      <c r="D13" s="28"/>
      <c r="E13" s="45">
        <v>0.15</v>
      </c>
      <c r="F13" s="17">
        <f t="shared" si="0"/>
        <v>0.21684485275178164</v>
      </c>
      <c r="G13" s="3">
        <f t="shared" si="1"/>
        <v>0.24042129976848073</v>
      </c>
      <c r="H13" s="13">
        <f t="shared" si="4"/>
        <v>0.1822155940048337</v>
      </c>
      <c r="I13" s="8"/>
      <c r="J13" s="47">
        <f t="shared" si="5"/>
        <v>0.15</v>
      </c>
      <c r="K13" s="17">
        <f t="shared" si="2"/>
        <v>0.18947368421052629</v>
      </c>
      <c r="L13" s="3">
        <f t="shared" si="3"/>
        <v>0.23399290146511023</v>
      </c>
      <c r="M13" s="33">
        <f t="shared" si="6"/>
        <v>0.11627906976744183</v>
      </c>
      <c r="O13" s="57">
        <f t="shared" si="7"/>
        <v>2.6738056526442842</v>
      </c>
    </row>
    <row r="14" spans="1:15" ht="21" x14ac:dyDescent="0.35">
      <c r="A14" s="30" t="s">
        <v>5</v>
      </c>
      <c r="B14" s="10">
        <f>(SUM(B10:B12)-SUM(C10:C12))/SUM(B10:C12)</f>
        <v>0.24042129976848081</v>
      </c>
      <c r="C14" s="9"/>
      <c r="D14" s="28"/>
      <c r="E14" s="45">
        <v>0.2</v>
      </c>
      <c r="F14" s="17">
        <f t="shared" si="0"/>
        <v>0.29849678028676924</v>
      </c>
      <c r="G14" s="3">
        <f t="shared" si="1"/>
        <v>0.24042129976848078</v>
      </c>
      <c r="H14" s="13">
        <f t="shared" si="4"/>
        <v>0.19758759571146514</v>
      </c>
      <c r="I14" s="8"/>
      <c r="J14" s="47">
        <f t="shared" si="5"/>
        <v>0.2</v>
      </c>
      <c r="K14" s="17">
        <f t="shared" si="2"/>
        <v>0.25263157894736843</v>
      </c>
      <c r="L14" s="3">
        <f t="shared" si="3"/>
        <v>0.23001353788485093</v>
      </c>
      <c r="M14" s="33">
        <f t="shared" si="6"/>
        <v>0.11627906976744184</v>
      </c>
      <c r="O14" s="57">
        <f t="shared" si="7"/>
        <v>4.3289683125630898</v>
      </c>
    </row>
    <row r="15" spans="1:15" ht="21" x14ac:dyDescent="0.35">
      <c r="A15" s="30" t="s">
        <v>7</v>
      </c>
      <c r="B15" s="10">
        <f>(1+B14)/(1-B14)</f>
        <v>1.6330385506997509</v>
      </c>
      <c r="C15" s="9"/>
      <c r="D15" s="28"/>
      <c r="E15" s="45">
        <v>0.25</v>
      </c>
      <c r="F15" s="17">
        <f t="shared" si="0"/>
        <v>0.38014870782175675</v>
      </c>
      <c r="G15" s="3">
        <f t="shared" si="1"/>
        <v>0.24042129976848073</v>
      </c>
      <c r="H15" s="13">
        <f t="shared" si="4"/>
        <v>0.20653649877604843</v>
      </c>
      <c r="I15" s="8"/>
      <c r="J15" s="47">
        <f t="shared" si="5"/>
        <v>0.25</v>
      </c>
      <c r="K15" s="17">
        <f t="shared" si="2"/>
        <v>0.31578947368421051</v>
      </c>
      <c r="L15" s="3">
        <f t="shared" si="3"/>
        <v>0.22629442442733222</v>
      </c>
      <c r="M15" s="33">
        <f t="shared" si="6"/>
        <v>0.11627906976744183</v>
      </c>
      <c r="O15" s="57">
        <f t="shared" si="7"/>
        <v>5.8758834407568354</v>
      </c>
    </row>
    <row r="16" spans="1:15" ht="21" x14ac:dyDescent="0.35">
      <c r="A16" s="35" t="s">
        <v>8</v>
      </c>
      <c r="B16" s="11">
        <f>B15*(SUM(C11:C12)) - SUM(B11:B12)</f>
        <v>-2.8110929853180977E-2</v>
      </c>
      <c r="C16" s="12"/>
      <c r="D16" s="28"/>
      <c r="E16" s="45">
        <v>0.3</v>
      </c>
      <c r="F16" s="17">
        <f t="shared" si="0"/>
        <v>0.46180063535674426</v>
      </c>
      <c r="G16" s="3">
        <f t="shared" si="1"/>
        <v>0.2404212997684807</v>
      </c>
      <c r="H16" s="13">
        <f t="shared" ref="H16:H22" si="8">(F16-E16)/(F16+E16)</f>
        <v>0.21239236074012266</v>
      </c>
      <c r="I16" s="8"/>
      <c r="J16" s="47">
        <f t="shared" si="5"/>
        <v>0.3</v>
      </c>
      <c r="K16" s="17">
        <f t="shared" si="2"/>
        <v>0.37894736842105259</v>
      </c>
      <c r="L16" s="3">
        <f t="shared" si="3"/>
        <v>0.22281083899244911</v>
      </c>
      <c r="M16" s="33">
        <f t="shared" ref="M16:M22" si="9">(K16-J16)/(K16+J16)</f>
        <v>0.11627906976744183</v>
      </c>
      <c r="O16" s="57">
        <f t="shared" si="7"/>
        <v>7.3248338616378819</v>
      </c>
    </row>
    <row r="17" spans="1:15" ht="18.75" x14ac:dyDescent="0.3">
      <c r="A17" s="27"/>
      <c r="B17" s="8"/>
      <c r="C17" s="8"/>
      <c r="D17" s="28"/>
      <c r="E17" s="45">
        <v>0.35</v>
      </c>
      <c r="F17" s="17">
        <f t="shared" si="0"/>
        <v>0.54345256289173183</v>
      </c>
      <c r="G17" s="3">
        <f t="shared" si="1"/>
        <v>0.24042129976848081</v>
      </c>
      <c r="H17" s="13">
        <f t="shared" si="8"/>
        <v>0.21652247799883959</v>
      </c>
      <c r="I17" s="8"/>
      <c r="J17" s="47">
        <f t="shared" si="5"/>
        <v>0.35</v>
      </c>
      <c r="K17" s="17">
        <f t="shared" si="2"/>
        <v>0.44210526315789467</v>
      </c>
      <c r="L17" s="3">
        <f t="shared" si="3"/>
        <v>0.21954109462906832</v>
      </c>
      <c r="M17" s="33">
        <f t="shared" si="9"/>
        <v>0.11627906976744182</v>
      </c>
      <c r="O17" s="57">
        <f t="shared" si="7"/>
        <v>8.684839970301951</v>
      </c>
    </row>
    <row r="18" spans="1:15" ht="18.75" x14ac:dyDescent="0.3">
      <c r="A18" s="27"/>
      <c r="B18" s="8"/>
      <c r="C18" s="8"/>
      <c r="D18" s="8"/>
      <c r="E18" s="45">
        <v>0.4</v>
      </c>
      <c r="F18" s="17">
        <f t="shared" si="0"/>
        <v>0.62510449042671945</v>
      </c>
      <c r="G18" s="3">
        <f t="shared" si="1"/>
        <v>0.2404212997684807</v>
      </c>
      <c r="H18" s="13">
        <f t="shared" si="8"/>
        <v>0.21959175140576678</v>
      </c>
      <c r="I18" s="8"/>
      <c r="J18" s="47">
        <f t="shared" si="5"/>
        <v>0.4</v>
      </c>
      <c r="K18" s="17">
        <f t="shared" si="2"/>
        <v>0.50526315789473686</v>
      </c>
      <c r="L18" s="3">
        <f t="shared" si="3"/>
        <v>0.21646608762134809</v>
      </c>
      <c r="M18" s="33">
        <f t="shared" si="9"/>
        <v>0.11627906976744184</v>
      </c>
      <c r="O18" s="57">
        <f t="shared" si="7"/>
        <v>9.9638476999337602</v>
      </c>
    </row>
    <row r="19" spans="1:15" ht="18.75" x14ac:dyDescent="0.3">
      <c r="A19" s="27"/>
      <c r="B19" s="8"/>
      <c r="C19" s="8"/>
      <c r="D19" s="8"/>
      <c r="E19" s="45">
        <v>0.45</v>
      </c>
      <c r="F19" s="17">
        <f t="shared" si="0"/>
        <v>0.70675641796170696</v>
      </c>
      <c r="G19" s="3">
        <f t="shared" si="1"/>
        <v>0.2404212997684807</v>
      </c>
      <c r="H19" s="13">
        <f t="shared" si="8"/>
        <v>0.22196238894799594</v>
      </c>
      <c r="I19" s="8"/>
      <c r="J19" s="47">
        <f t="shared" si="5"/>
        <v>0.45</v>
      </c>
      <c r="K19" s="17">
        <f t="shared" si="2"/>
        <v>0.56842105263157894</v>
      </c>
      <c r="L19" s="3">
        <f t="shared" si="3"/>
        <v>0.21356892398448946</v>
      </c>
      <c r="M19" s="33">
        <f t="shared" si="9"/>
        <v>0.11627906976744184</v>
      </c>
      <c r="O19" s="57">
        <f t="shared" si="7"/>
        <v>11.168883875866808</v>
      </c>
    </row>
    <row r="20" spans="1:15" ht="18.75" x14ac:dyDescent="0.3">
      <c r="A20" s="27"/>
      <c r="B20" s="8"/>
      <c r="C20" s="8"/>
      <c r="D20" s="8"/>
      <c r="E20" s="45">
        <v>0.5</v>
      </c>
      <c r="F20" s="17">
        <f t="shared" si="0"/>
        <v>0.78840834549669447</v>
      </c>
      <c r="G20" s="3">
        <f t="shared" si="1"/>
        <v>0.24042129976848078</v>
      </c>
      <c r="H20" s="13">
        <f t="shared" si="8"/>
        <v>0.22384855430714409</v>
      </c>
      <c r="I20" s="8"/>
      <c r="J20" s="47">
        <f t="shared" si="5"/>
        <v>0.5</v>
      </c>
      <c r="K20" s="17">
        <f t="shared" si="2"/>
        <v>0.63157894736842102</v>
      </c>
      <c r="L20" s="3">
        <f t="shared" si="3"/>
        <v>0.21083460894413411</v>
      </c>
      <c r="M20" s="33">
        <f t="shared" si="9"/>
        <v>0.11627906976744183</v>
      </c>
      <c r="O20" s="57">
        <f t="shared" si="7"/>
        <v>12.306185372443231</v>
      </c>
    </row>
    <row r="21" spans="1:15" ht="18.75" x14ac:dyDescent="0.3">
      <c r="A21" s="27"/>
      <c r="B21" s="8"/>
      <c r="C21" s="8"/>
      <c r="D21" s="8"/>
      <c r="E21" s="45">
        <v>0.55000000000000004</v>
      </c>
      <c r="F21" s="17">
        <f t="shared" si="0"/>
        <v>0.8700602730316821</v>
      </c>
      <c r="G21" s="3">
        <f t="shared" si="1"/>
        <v>0.2404212997684807</v>
      </c>
      <c r="H21" s="13">
        <f t="shared" si="8"/>
        <v>0.22538499182741478</v>
      </c>
      <c r="I21" s="8"/>
      <c r="J21" s="47">
        <f t="shared" si="5"/>
        <v>0.55000000000000004</v>
      </c>
      <c r="K21" s="17">
        <f t="shared" si="2"/>
        <v>0.69473684210526321</v>
      </c>
      <c r="L21" s="3">
        <f t="shared" si="3"/>
        <v>0.20824978734712193</v>
      </c>
      <c r="M21" s="33">
        <f t="shared" si="9"/>
        <v>0.11627906976744184</v>
      </c>
      <c r="O21" s="57">
        <f t="shared" si="7"/>
        <v>13.381307085661327</v>
      </c>
    </row>
    <row r="22" spans="1:15" ht="18.75" x14ac:dyDescent="0.3">
      <c r="A22" s="27"/>
      <c r="B22" s="8"/>
      <c r="C22" s="8"/>
      <c r="D22" s="8"/>
      <c r="E22" s="45">
        <v>0.6</v>
      </c>
      <c r="F22" s="17">
        <f t="shared" si="0"/>
        <v>0.9517122005666695</v>
      </c>
      <c r="G22" s="3">
        <f t="shared" si="1"/>
        <v>0.24042129976848073</v>
      </c>
      <c r="H22" s="13">
        <f t="shared" si="8"/>
        <v>0.22666071739219928</v>
      </c>
      <c r="I22" s="8"/>
      <c r="J22" s="47">
        <f t="shared" si="5"/>
        <v>0.6</v>
      </c>
      <c r="K22" s="17">
        <f t="shared" si="2"/>
        <v>0.75789473684210518</v>
      </c>
      <c r="L22" s="3">
        <f t="shared" si="3"/>
        <v>0.20580252551692899</v>
      </c>
      <c r="M22" s="33">
        <f t="shared" si="9"/>
        <v>0.11627906976744183</v>
      </c>
      <c r="O22" s="57">
        <f t="shared" si="7"/>
        <v>14.399212667466941</v>
      </c>
    </row>
    <row r="23" spans="1:15" ht="18.75" x14ac:dyDescent="0.3">
      <c r="A23" s="27"/>
      <c r="B23" s="8"/>
      <c r="C23" s="8"/>
      <c r="D23" s="8"/>
      <c r="E23" s="45">
        <v>0.65</v>
      </c>
      <c r="F23" s="17">
        <f t="shared" si="0"/>
        <v>1.0333641281016572</v>
      </c>
      <c r="G23" s="3">
        <f t="shared" si="1"/>
        <v>0.24042129976848076</v>
      </c>
      <c r="H23" s="13">
        <f t="shared" ref="H23:H25" si="10">(F23-E23)/(F23+E23)</f>
        <v>0.22773689999797006</v>
      </c>
      <c r="I23" s="8"/>
      <c r="J23" s="47">
        <f t="shared" si="5"/>
        <v>0.65</v>
      </c>
      <c r="K23" s="17">
        <f t="shared" si="2"/>
        <v>0.82105263157894737</v>
      </c>
      <c r="L23" s="3">
        <f t="shared" si="3"/>
        <v>0.2034821270342245</v>
      </c>
      <c r="M23" s="33">
        <f t="shared" ref="M23:M25" si="11">(K23-J23)/(K23+J23)</f>
        <v>0.11627906976744184</v>
      </c>
      <c r="O23" s="57">
        <f t="shared" si="7"/>
        <v>15.364351149348119</v>
      </c>
    </row>
    <row r="24" spans="1:15" ht="18.75" x14ac:dyDescent="0.3">
      <c r="A24" s="27"/>
      <c r="B24" s="8"/>
      <c r="C24" s="8"/>
      <c r="D24" s="8"/>
      <c r="E24" s="45">
        <v>0.7</v>
      </c>
      <c r="F24" s="17">
        <f t="shared" si="0"/>
        <v>1.1150160556366446</v>
      </c>
      <c r="G24" s="3">
        <f t="shared" si="1"/>
        <v>0.24042129976848078</v>
      </c>
      <c r="H24" s="13">
        <f t="shared" si="10"/>
        <v>0.22865696110389033</v>
      </c>
      <c r="I24" s="8"/>
      <c r="J24" s="47">
        <f t="shared" si="5"/>
        <v>0.7</v>
      </c>
      <c r="K24" s="17">
        <f t="shared" si="2"/>
        <v>0.88421052631578934</v>
      </c>
      <c r="L24" s="3">
        <f t="shared" si="3"/>
        <v>0.20127897644281442</v>
      </c>
      <c r="M24" s="33">
        <f t="shared" si="11"/>
        <v>0.11627906976744182</v>
      </c>
      <c r="O24" s="57">
        <f t="shared" si="7"/>
        <v>16.280721950742034</v>
      </c>
    </row>
    <row r="25" spans="1:15" ht="19.5" thickBot="1" x14ac:dyDescent="0.35">
      <c r="A25" s="36"/>
      <c r="B25" s="37"/>
      <c r="C25" s="37"/>
      <c r="D25" s="37"/>
      <c r="E25" s="46">
        <v>0.75</v>
      </c>
      <c r="F25" s="38">
        <f t="shared" si="0"/>
        <v>1.1966679831716323</v>
      </c>
      <c r="G25" s="39">
        <f t="shared" si="1"/>
        <v>0.24042129976848073</v>
      </c>
      <c r="H25" s="40">
        <f t="shared" si="10"/>
        <v>0.22945257590557022</v>
      </c>
      <c r="I25" s="37"/>
      <c r="J25" s="47">
        <f t="shared" si="5"/>
        <v>0.75</v>
      </c>
      <c r="K25" s="38">
        <f t="shared" si="2"/>
        <v>0.94736842105263153</v>
      </c>
      <c r="L25" s="39">
        <f t="shared" si="3"/>
        <v>0.19918440606400278</v>
      </c>
      <c r="M25" s="41">
        <f t="shared" si="11"/>
        <v>0.11627906976744184</v>
      </c>
      <c r="O25" s="58">
        <f t="shared" si="7"/>
        <v>17.151930275806667</v>
      </c>
    </row>
    <row r="26" spans="1:15" ht="6" customHeight="1" x14ac:dyDescent="0.25">
      <c r="O26" s="54"/>
    </row>
    <row r="27" spans="1:15" s="1" customFormat="1" ht="29.25" customHeight="1" x14ac:dyDescent="0.55000000000000004">
      <c r="A27" s="61" t="s">
        <v>17</v>
      </c>
      <c r="B27" s="78" t="s">
        <v>36</v>
      </c>
      <c r="C27" s="79"/>
      <c r="D27" s="65" t="s">
        <v>38</v>
      </c>
      <c r="E27" s="68" t="str">
        <f>CONCATENATE(ROUND(E2Ex2,3)&amp;")")</f>
        <v>1.633)</v>
      </c>
      <c r="F27" s="67" t="str">
        <f>CONCATENATE("+ "&amp;ROUND(E2Ey2,3))</f>
        <v>+ 0.112</v>
      </c>
      <c r="G27" s="62"/>
      <c r="H27" s="64" t="s">
        <v>35</v>
      </c>
      <c r="I27" s="62"/>
      <c r="J27" s="66">
        <f>PDRUNB</f>
        <v>0.27365669020954458</v>
      </c>
      <c r="K27" s="62"/>
      <c r="L27" s="62"/>
      <c r="M27" s="63"/>
      <c r="O27" s="54"/>
    </row>
    <row r="28" spans="1:15" s="1" customFormat="1" ht="24" customHeight="1" x14ac:dyDescent="0.5">
      <c r="A28" s="59" t="s">
        <v>14</v>
      </c>
      <c r="B28" s="26"/>
      <c r="C28" s="60"/>
      <c r="D28" s="28"/>
      <c r="E28" s="73" t="s">
        <v>25</v>
      </c>
      <c r="F28" s="74"/>
      <c r="G28" s="74"/>
      <c r="H28" s="75"/>
      <c r="I28" s="8"/>
      <c r="J28" s="73" t="s">
        <v>21</v>
      </c>
      <c r="K28" s="74"/>
      <c r="L28" s="74"/>
      <c r="M28" s="77"/>
      <c r="O28" s="54"/>
    </row>
    <row r="29" spans="1:15" ht="24" customHeight="1" x14ac:dyDescent="0.35">
      <c r="A29" s="27"/>
      <c r="B29" s="6" t="s">
        <v>3</v>
      </c>
      <c r="C29" s="7" t="s">
        <v>4</v>
      </c>
      <c r="D29" s="28" t="s">
        <v>18</v>
      </c>
      <c r="E29" s="22" t="s">
        <v>12</v>
      </c>
      <c r="F29" s="22" t="s">
        <v>22</v>
      </c>
      <c r="G29" s="22" t="s">
        <v>13</v>
      </c>
      <c r="H29" s="22" t="s">
        <v>23</v>
      </c>
      <c r="I29" s="8"/>
      <c r="J29" s="22" t="s">
        <v>12</v>
      </c>
      <c r="K29" s="22" t="s">
        <v>22</v>
      </c>
      <c r="L29" s="22" t="s">
        <v>23</v>
      </c>
      <c r="M29" s="29" t="s">
        <v>13</v>
      </c>
      <c r="O29" s="55" t="s">
        <v>33</v>
      </c>
    </row>
    <row r="30" spans="1:15" ht="21" x14ac:dyDescent="0.35">
      <c r="A30" s="30" t="s">
        <v>2</v>
      </c>
      <c r="B30" s="69">
        <f>PDRmax1</f>
        <v>1.6319999999999999</v>
      </c>
      <c r="C30" s="69">
        <f>PDRmin1</f>
        <v>0.93069999999999997</v>
      </c>
      <c r="D30" s="53">
        <f>(B30-C30)/(B30+C30)</f>
        <v>0.27365669020954458</v>
      </c>
      <c r="E30" s="23" t="s">
        <v>15</v>
      </c>
      <c r="F30" s="23" t="s">
        <v>16</v>
      </c>
      <c r="G30" s="23" t="s">
        <v>10</v>
      </c>
      <c r="H30" s="24" t="s">
        <v>21</v>
      </c>
      <c r="I30" s="8"/>
      <c r="J30" s="23" t="s">
        <v>15</v>
      </c>
      <c r="K30" s="23" t="s">
        <v>16</v>
      </c>
      <c r="L30" s="23" t="s">
        <v>10</v>
      </c>
      <c r="M30" s="31" t="s">
        <v>21</v>
      </c>
      <c r="O30" s="56" t="s">
        <v>34</v>
      </c>
    </row>
    <row r="31" spans="1:15" ht="21" x14ac:dyDescent="0.35">
      <c r="A31" s="30" t="s">
        <v>0</v>
      </c>
      <c r="B31" s="69">
        <f>ChRmax1</f>
        <v>0.17399999999999999</v>
      </c>
      <c r="C31" s="69">
        <f>CHRmin1</f>
        <v>0.158</v>
      </c>
      <c r="D31" s="8"/>
      <c r="E31" s="45">
        <v>0.25</v>
      </c>
      <c r="F31" s="14">
        <f t="shared" ref="F31:F45" si="12">E2Ex2*E31+E2Ey2</f>
        <v>0.52039065853867927</v>
      </c>
      <c r="G31" s="15">
        <f t="shared" ref="G31:G45" si="13">(SUM(ChRmax2,PSERmax2,F31)-SUM(ChRmin2,PSERmin2,E31))/SUM(ChRmax2,ChRmin2,PSERmax2,PSERmin2,E31:F31)</f>
        <v>0.24042129976848073</v>
      </c>
      <c r="H31" s="16">
        <f>(F31-E31)/(F31+E31)</f>
        <v>0.35097863083071595</v>
      </c>
      <c r="I31" s="8"/>
      <c r="J31" s="47">
        <f>E31</f>
        <v>0.25</v>
      </c>
      <c r="K31" s="14">
        <f t="shared" ref="K31:K45" si="14">J31*((1+PDRUNB)/(1-PDRUNB))</f>
        <v>0.4383797141936176</v>
      </c>
      <c r="L31" s="15">
        <f t="shared" ref="L31:L45" si="15">(SUM(ChRmax2,PSERmax2,K31)-SUM(ChRmin2,PSERmin2,J31))/SUM(ChRmax2,ChRmin2,PSERmax2,PSERmin2,J31:K31)</f>
        <v>0.18817807072922338</v>
      </c>
      <c r="M31" s="32">
        <f>(K31-J31)/(K31+J31)</f>
        <v>0.27365669020954447</v>
      </c>
      <c r="O31" s="57">
        <f t="shared" si="7"/>
        <v>21.72986714969355</v>
      </c>
    </row>
    <row r="32" spans="1:15" ht="21" x14ac:dyDescent="0.35">
      <c r="A32" s="30" t="s">
        <v>1</v>
      </c>
      <c r="B32" s="69">
        <f>PSERmax1</f>
        <v>9.6000000000000002E-2</v>
      </c>
      <c r="C32" s="69">
        <f>PSERmin1</f>
        <v>7.5999999999999998E-2</v>
      </c>
      <c r="D32" s="8"/>
      <c r="E32" s="45">
        <v>0.5</v>
      </c>
      <c r="F32" s="17">
        <f t="shared" si="12"/>
        <v>0.92865029621361694</v>
      </c>
      <c r="G32" s="3">
        <f t="shared" si="13"/>
        <v>0.24042129976848067</v>
      </c>
      <c r="H32" s="13">
        <f t="shared" ref="H32:H35" si="16">(F32-E32)/(F32+E32)</f>
        <v>0.30003864301129407</v>
      </c>
      <c r="I32" s="8"/>
      <c r="J32" s="47">
        <f t="shared" ref="J32:J45" si="17">E32</f>
        <v>0.5</v>
      </c>
      <c r="K32" s="17">
        <f t="shared" si="14"/>
        <v>0.8767594283872352</v>
      </c>
      <c r="L32" s="3">
        <f t="shared" si="15"/>
        <v>0.21946423458378167</v>
      </c>
      <c r="M32" s="33">
        <f t="shared" ref="M32:M35" si="18">(K32-J32)/(K32+J32)</f>
        <v>0.27365669020954447</v>
      </c>
      <c r="O32" s="57">
        <f t="shared" si="7"/>
        <v>8.7168088704620175</v>
      </c>
    </row>
    <row r="33" spans="1:15" ht="21" x14ac:dyDescent="0.35">
      <c r="A33" s="34"/>
      <c r="B33" s="8"/>
      <c r="C33" s="9"/>
      <c r="D33" s="8"/>
      <c r="E33" s="45">
        <v>0.75</v>
      </c>
      <c r="F33" s="17">
        <f t="shared" si="12"/>
        <v>1.3369099338885546</v>
      </c>
      <c r="G33" s="3">
        <f t="shared" si="13"/>
        <v>0.24042129976848065</v>
      </c>
      <c r="H33" s="13">
        <f t="shared" si="16"/>
        <v>0.28123395473754875</v>
      </c>
      <c r="I33" s="8"/>
      <c r="J33" s="47">
        <f t="shared" si="17"/>
        <v>0.75</v>
      </c>
      <c r="K33" s="17">
        <f t="shared" si="14"/>
        <v>1.3151391425808527</v>
      </c>
      <c r="L33" s="3">
        <f t="shared" si="15"/>
        <v>0.23398465759116996</v>
      </c>
      <c r="M33" s="33">
        <f t="shared" si="18"/>
        <v>0.27365669020954447</v>
      </c>
      <c r="O33" s="57">
        <f t="shared" si="7"/>
        <v>2.6772345809248193</v>
      </c>
    </row>
    <row r="34" spans="1:15" ht="21" x14ac:dyDescent="0.35">
      <c r="A34" s="30" t="s">
        <v>5</v>
      </c>
      <c r="B34" s="10">
        <f>(SUM(B30:B32)-SUM(C30:C32))/SUM(B30:C32)</f>
        <v>0.24042129976848073</v>
      </c>
      <c r="C34" s="9"/>
      <c r="D34" s="8"/>
      <c r="E34" s="45">
        <v>1</v>
      </c>
      <c r="F34" s="17">
        <f t="shared" si="12"/>
        <v>1.7451695715634923</v>
      </c>
      <c r="G34" s="3">
        <f t="shared" si="13"/>
        <v>0.24042129976848067</v>
      </c>
      <c r="H34" s="13">
        <f t="shared" si="16"/>
        <v>0.27144755620290739</v>
      </c>
      <c r="I34" s="8"/>
      <c r="J34" s="47">
        <f t="shared" si="17"/>
        <v>1</v>
      </c>
      <c r="K34" s="17">
        <f t="shared" si="14"/>
        <v>1.7535188567744704</v>
      </c>
      <c r="L34" s="3">
        <f t="shared" si="15"/>
        <v>0.24236816162477595</v>
      </c>
      <c r="M34" s="33">
        <f t="shared" si="18"/>
        <v>0.27365669020954447</v>
      </c>
      <c r="O34" s="57">
        <f t="shared" si="7"/>
        <v>-0.80977095547277012</v>
      </c>
    </row>
    <row r="35" spans="1:15" ht="21" x14ac:dyDescent="0.35">
      <c r="A35" s="30" t="s">
        <v>7</v>
      </c>
      <c r="B35" s="10">
        <f>(1+B34)/(1-B34)</f>
        <v>1.6330385506997507</v>
      </c>
      <c r="C35" s="9"/>
      <c r="D35" s="8"/>
      <c r="E35" s="45">
        <v>1.25</v>
      </c>
      <c r="F35" s="17">
        <f t="shared" si="12"/>
        <v>2.1534292092384302</v>
      </c>
      <c r="G35" s="3">
        <f t="shared" si="13"/>
        <v>0.24042129976848073</v>
      </c>
      <c r="H35" s="13">
        <f t="shared" si="16"/>
        <v>0.26544674611892</v>
      </c>
      <c r="I35" s="8"/>
      <c r="J35" s="47">
        <f t="shared" si="17"/>
        <v>1.25</v>
      </c>
      <c r="K35" s="17">
        <f t="shared" si="14"/>
        <v>2.191898570968088</v>
      </c>
      <c r="L35" s="3">
        <f t="shared" si="15"/>
        <v>0.24782658585371853</v>
      </c>
      <c r="M35" s="33">
        <f t="shared" si="18"/>
        <v>0.27365669020954453</v>
      </c>
      <c r="O35" s="57">
        <f t="shared" si="7"/>
        <v>-3.0801289621048102</v>
      </c>
    </row>
    <row r="36" spans="1:15" ht="21" x14ac:dyDescent="0.35">
      <c r="A36" s="35" t="s">
        <v>8</v>
      </c>
      <c r="B36" s="11">
        <f>B35*(SUM(C31:C32)) - SUM(B31:B32)</f>
        <v>0.1121310208637416</v>
      </c>
      <c r="C36" s="12"/>
      <c r="D36" s="8"/>
      <c r="E36" s="45">
        <v>1.5</v>
      </c>
      <c r="F36" s="17">
        <f t="shared" si="12"/>
        <v>2.5616888469133676</v>
      </c>
      <c r="G36" s="3">
        <f t="shared" si="13"/>
        <v>0.24042129976848067</v>
      </c>
      <c r="H36" s="13">
        <f t="shared" ref="H36:H43" si="19">(F36-E36)/(F36+E36)</f>
        <v>0.26139098461965776</v>
      </c>
      <c r="I36" s="8"/>
      <c r="J36" s="47">
        <f t="shared" si="17"/>
        <v>1.5</v>
      </c>
      <c r="K36" s="17">
        <f t="shared" si="14"/>
        <v>2.6302782851617055</v>
      </c>
      <c r="L36" s="3">
        <f t="shared" si="15"/>
        <v>0.25166341194829867</v>
      </c>
      <c r="M36" s="33">
        <f t="shared" ref="M36:M43" si="20">(K36-J36)/(K36+J36)</f>
        <v>0.27365669020954447</v>
      </c>
      <c r="O36" s="57">
        <f t="shared" si="7"/>
        <v>-4.6760050755252749</v>
      </c>
    </row>
    <row r="37" spans="1:15" ht="18.75" x14ac:dyDescent="0.3">
      <c r="A37" s="27"/>
      <c r="B37" s="8"/>
      <c r="C37" s="8"/>
      <c r="D37" s="8"/>
      <c r="E37" s="45">
        <v>1.75</v>
      </c>
      <c r="F37" s="17">
        <f t="shared" si="12"/>
        <v>2.9699484845883051</v>
      </c>
      <c r="G37" s="3">
        <f t="shared" si="13"/>
        <v>0.24042129976848062</v>
      </c>
      <c r="H37" s="13">
        <f t="shared" si="19"/>
        <v>0.25846648296516617</v>
      </c>
      <c r="I37" s="8"/>
      <c r="J37" s="47">
        <f t="shared" si="17"/>
        <v>1.75</v>
      </c>
      <c r="K37" s="17">
        <f t="shared" si="14"/>
        <v>3.0686579993553234</v>
      </c>
      <c r="L37" s="3">
        <f t="shared" si="15"/>
        <v>0.25450780409325541</v>
      </c>
      <c r="M37" s="33">
        <f t="shared" si="20"/>
        <v>0.27365669020954453</v>
      </c>
      <c r="O37" s="57">
        <f t="shared" si="7"/>
        <v>-5.8590916604892005</v>
      </c>
    </row>
    <row r="38" spans="1:15" ht="18.75" x14ac:dyDescent="0.3">
      <c r="A38" s="43"/>
      <c r="B38" s="44"/>
      <c r="C38" s="44"/>
      <c r="D38" s="44"/>
      <c r="E38" s="45">
        <v>2</v>
      </c>
      <c r="F38" s="17">
        <f t="shared" si="12"/>
        <v>3.378208122263243</v>
      </c>
      <c r="G38" s="3">
        <f t="shared" si="13"/>
        <v>0.24042129976848067</v>
      </c>
      <c r="H38" s="13">
        <f t="shared" si="19"/>
        <v>0.25625786338727052</v>
      </c>
      <c r="I38" s="8"/>
      <c r="J38" s="47">
        <f t="shared" si="17"/>
        <v>2</v>
      </c>
      <c r="K38" s="17">
        <f t="shared" si="14"/>
        <v>3.5070377135489408</v>
      </c>
      <c r="L38" s="3">
        <f t="shared" si="15"/>
        <v>0.2567007207542415</v>
      </c>
      <c r="M38" s="33">
        <f t="shared" si="20"/>
        <v>0.27365669020954447</v>
      </c>
      <c r="O38" s="57">
        <f t="shared" si="7"/>
        <v>-6.7712057964238088</v>
      </c>
    </row>
    <row r="39" spans="1:15" ht="18.75" x14ac:dyDescent="0.3">
      <c r="A39" s="43"/>
      <c r="B39" s="44"/>
      <c r="C39" s="44"/>
      <c r="D39" s="44"/>
      <c r="E39" s="45">
        <v>2.25</v>
      </c>
      <c r="F39" s="17">
        <f t="shared" si="12"/>
        <v>3.7864677599381809</v>
      </c>
      <c r="G39" s="3">
        <f t="shared" si="13"/>
        <v>0.24042129976848076</v>
      </c>
      <c r="H39" s="13">
        <f t="shared" si="19"/>
        <v>0.2545309311738817</v>
      </c>
      <c r="I39" s="8"/>
      <c r="J39" s="47">
        <f t="shared" si="17"/>
        <v>2.25</v>
      </c>
      <c r="K39" s="17">
        <f t="shared" si="14"/>
        <v>3.9454174277425582</v>
      </c>
      <c r="L39" s="3">
        <f t="shared" si="15"/>
        <v>0.25844298350072781</v>
      </c>
      <c r="M39" s="33">
        <f t="shared" si="20"/>
        <v>0.27365669020954447</v>
      </c>
      <c r="O39" s="57">
        <f t="shared" si="7"/>
        <v>-7.4958765091119002</v>
      </c>
    </row>
    <row r="40" spans="1:15" ht="18.75" x14ac:dyDescent="0.3">
      <c r="A40" s="27"/>
      <c r="B40" s="8"/>
      <c r="C40" s="8"/>
      <c r="D40" s="8"/>
      <c r="E40" s="45">
        <v>2.5</v>
      </c>
      <c r="F40" s="17">
        <f t="shared" si="12"/>
        <v>4.1947273976131187</v>
      </c>
      <c r="G40" s="3">
        <f t="shared" si="13"/>
        <v>0.24042129976848078</v>
      </c>
      <c r="H40" s="13">
        <f t="shared" si="19"/>
        <v>0.25314360047241691</v>
      </c>
      <c r="I40" s="8"/>
      <c r="J40" s="47">
        <f t="shared" si="17"/>
        <v>2.5</v>
      </c>
      <c r="K40" s="17">
        <f t="shared" si="14"/>
        <v>4.3837971419361761</v>
      </c>
      <c r="L40" s="3">
        <f t="shared" si="15"/>
        <v>0.25986056534208518</v>
      </c>
      <c r="M40" s="33">
        <f t="shared" si="20"/>
        <v>0.27365669020954453</v>
      </c>
      <c r="O40" s="57">
        <f t="shared" si="7"/>
        <v>-8.0855005743350876</v>
      </c>
    </row>
    <row r="41" spans="1:15" ht="18.75" x14ac:dyDescent="0.3">
      <c r="A41" s="42"/>
      <c r="B41" s="8"/>
      <c r="C41" s="8"/>
      <c r="D41" s="8"/>
      <c r="E41" s="45">
        <v>2.75</v>
      </c>
      <c r="F41" s="17">
        <f t="shared" si="12"/>
        <v>4.6029870352880558</v>
      </c>
      <c r="G41" s="3">
        <f t="shared" si="13"/>
        <v>0.24042129976848062</v>
      </c>
      <c r="H41" s="13">
        <f t="shared" si="19"/>
        <v>0.25200466509668806</v>
      </c>
      <c r="I41" s="8"/>
      <c r="J41" s="47">
        <f t="shared" si="17"/>
        <v>2.75</v>
      </c>
      <c r="K41" s="17">
        <f t="shared" si="14"/>
        <v>4.8221768561297935</v>
      </c>
      <c r="L41" s="3">
        <f t="shared" si="15"/>
        <v>0.26103648962685772</v>
      </c>
      <c r="M41" s="33">
        <f t="shared" si="20"/>
        <v>0.27365669020954447</v>
      </c>
      <c r="O41" s="57">
        <f t="shared" si="7"/>
        <v>-8.5746104351939625</v>
      </c>
    </row>
    <row r="42" spans="1:15" ht="18.75" x14ac:dyDescent="0.3">
      <c r="A42" s="27"/>
      <c r="B42" s="8"/>
      <c r="C42" s="8"/>
      <c r="D42" s="8"/>
      <c r="E42" s="45">
        <v>3</v>
      </c>
      <c r="F42" s="17">
        <f t="shared" si="12"/>
        <v>5.0112466729629936</v>
      </c>
      <c r="G42" s="3">
        <f t="shared" si="13"/>
        <v>0.24042129976848065</v>
      </c>
      <c r="H42" s="13">
        <f t="shared" si="19"/>
        <v>0.25105289539401054</v>
      </c>
      <c r="I42" s="8"/>
      <c r="J42" s="47">
        <f t="shared" si="17"/>
        <v>3</v>
      </c>
      <c r="K42" s="17">
        <f t="shared" si="14"/>
        <v>5.260556570323411</v>
      </c>
      <c r="L42" s="3">
        <f t="shared" si="15"/>
        <v>0.26202769665489967</v>
      </c>
      <c r="M42" s="33">
        <f t="shared" si="20"/>
        <v>0.27365669020954447</v>
      </c>
      <c r="O42" s="57">
        <f t="shared" si="7"/>
        <v>-8.9868896421512616</v>
      </c>
    </row>
    <row r="43" spans="1:15" ht="18.75" x14ac:dyDescent="0.3">
      <c r="A43" s="27"/>
      <c r="B43" s="8"/>
      <c r="C43" s="8"/>
      <c r="D43" s="8"/>
      <c r="E43" s="45">
        <v>3.25</v>
      </c>
      <c r="F43" s="17">
        <f t="shared" si="12"/>
        <v>5.4195063106379315</v>
      </c>
      <c r="G43" s="3">
        <f t="shared" si="13"/>
        <v>0.24042129976848067</v>
      </c>
      <c r="H43" s="13">
        <f t="shared" si="19"/>
        <v>0.25024565793046777</v>
      </c>
      <c r="I43" s="8"/>
      <c r="J43" s="47">
        <f t="shared" si="17"/>
        <v>3.25</v>
      </c>
      <c r="K43" s="17">
        <f t="shared" si="14"/>
        <v>5.6989362845170284</v>
      </c>
      <c r="L43" s="3">
        <f t="shared" si="15"/>
        <v>0.26287454074847699</v>
      </c>
      <c r="M43" s="33">
        <f t="shared" si="20"/>
        <v>0.27365669020954447</v>
      </c>
      <c r="O43" s="57">
        <f t="shared" si="7"/>
        <v>-9.3391230317855349</v>
      </c>
    </row>
    <row r="44" spans="1:15" ht="18.75" x14ac:dyDescent="0.3">
      <c r="A44" s="27"/>
      <c r="B44" s="8"/>
      <c r="C44" s="8"/>
      <c r="D44" s="8"/>
      <c r="E44" s="45">
        <v>3.5</v>
      </c>
      <c r="F44" s="17">
        <f t="shared" si="12"/>
        <v>5.8277659483128685</v>
      </c>
      <c r="G44" s="3">
        <f t="shared" si="13"/>
        <v>0.24042129976848073</v>
      </c>
      <c r="H44" s="13">
        <f t="shared" ref="H44:H45" si="21">(F44-E44)/(F44+E44)</f>
        <v>0.24955235382314625</v>
      </c>
      <c r="I44" s="8"/>
      <c r="J44" s="47">
        <f t="shared" si="17"/>
        <v>3.5</v>
      </c>
      <c r="K44" s="17">
        <f t="shared" si="14"/>
        <v>6.1373159987106467</v>
      </c>
      <c r="L44" s="3">
        <f t="shared" si="15"/>
        <v>0.26360641942826052</v>
      </c>
      <c r="M44" s="33">
        <f t="shared" ref="M44:M45" si="22">(K44-J44)/(K44+J44)</f>
        <v>0.27365669020954453</v>
      </c>
      <c r="O44" s="57">
        <f t="shared" si="7"/>
        <v>-9.6435381066928922</v>
      </c>
    </row>
    <row r="45" spans="1:15" ht="19.5" thickBot="1" x14ac:dyDescent="0.35">
      <c r="A45" s="36"/>
      <c r="B45" s="37"/>
      <c r="C45" s="37"/>
      <c r="D45" s="37"/>
      <c r="E45" s="46">
        <v>3.75</v>
      </c>
      <c r="F45" s="38">
        <f t="shared" si="12"/>
        <v>6.2360255859878064</v>
      </c>
      <c r="G45" s="39">
        <f t="shared" si="13"/>
        <v>0.24042129976848073</v>
      </c>
      <c r="H45" s="40">
        <f t="shared" si="21"/>
        <v>0.24895045226763168</v>
      </c>
      <c r="I45" s="37"/>
      <c r="J45" s="47">
        <f t="shared" si="17"/>
        <v>3.75</v>
      </c>
      <c r="K45" s="38">
        <f t="shared" si="14"/>
        <v>6.5756957129042641</v>
      </c>
      <c r="L45" s="39">
        <f t="shared" si="15"/>
        <v>0.26424525570874297</v>
      </c>
      <c r="M45" s="41">
        <f t="shared" si="22"/>
        <v>0.27365669020954453</v>
      </c>
      <c r="O45" s="58">
        <f t="shared" si="7"/>
        <v>-9.9092534493424953</v>
      </c>
    </row>
  </sheetData>
  <sheetProtection sheet="1" objects="1" scenarios="1"/>
  <mergeCells count="6">
    <mergeCell ref="B7:C7"/>
    <mergeCell ref="E8:H8"/>
    <mergeCell ref="E28:H28"/>
    <mergeCell ref="J8:M8"/>
    <mergeCell ref="J28:M28"/>
    <mergeCell ref="B27:C27"/>
  </mergeCells>
  <conditionalFormatting sqref="H11:H25">
    <cfRule type="cellIs" dxfId="5" priority="2" operator="greaterThan">
      <formula>$D$10</formula>
    </cfRule>
    <cfRule type="cellIs" dxfId="4" priority="6" operator="greaterThan">
      <formula>$D$10</formula>
    </cfRule>
    <cfRule type="expression" priority="7">
      <formula>$H$11&gt;$G$11</formula>
    </cfRule>
  </conditionalFormatting>
  <conditionalFormatting sqref="L11:L25">
    <cfRule type="cellIs" dxfId="3" priority="5" operator="greaterThan">
      <formula>$B$14</formula>
    </cfRule>
  </conditionalFormatting>
  <conditionalFormatting sqref="H31:H45">
    <cfRule type="cellIs" dxfId="2" priority="1" operator="greaterThan">
      <formula>$D$30</formula>
    </cfRule>
    <cfRule type="cellIs" dxfId="1" priority="4" operator="greaterThan">
      <formula>$D$30</formula>
    </cfRule>
  </conditionalFormatting>
  <conditionalFormatting sqref="L31:L45">
    <cfRule type="cellIs" dxfId="0" priority="3" operator="greaterThan">
      <formula>$B$34</formula>
    </cfRule>
  </conditionalFormatting>
  <pageMargins left="0.7" right="0.7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Specs</vt:lpstr>
      <vt:lpstr>ChRmax1</vt:lpstr>
      <vt:lpstr>ChRmax2</vt:lpstr>
      <vt:lpstr>CHRmin1</vt:lpstr>
      <vt:lpstr>ChRmin2</vt:lpstr>
      <vt:lpstr>E2Ex</vt:lpstr>
      <vt:lpstr>E2Ex1</vt:lpstr>
      <vt:lpstr>E2Ex2</vt:lpstr>
      <vt:lpstr>E2Ey1</vt:lpstr>
      <vt:lpstr>E2Ey2</vt:lpstr>
      <vt:lpstr>PDRmax1</vt:lpstr>
      <vt:lpstr>PDRmax2</vt:lpstr>
      <vt:lpstr>PDRmin1</vt:lpstr>
      <vt:lpstr>PDRmin2</vt:lpstr>
      <vt:lpstr>PDRUNB</vt:lpstr>
      <vt:lpstr>PI_P2PRunb1</vt:lpstr>
      <vt:lpstr>PSERmax1</vt:lpstr>
      <vt:lpstr>PSERmax2</vt:lpstr>
      <vt:lpstr>PSERmin1</vt:lpstr>
      <vt:lpstr>PSERmin2</vt:lpstr>
      <vt:lpstr>PSERUNB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cp:lastPrinted>2014-08-04T14:01:52Z</cp:lastPrinted>
  <dcterms:created xsi:type="dcterms:W3CDTF">2014-05-13T11:02:09Z</dcterms:created>
  <dcterms:modified xsi:type="dcterms:W3CDTF">2014-08-06T12:49:33Z</dcterms:modified>
</cp:coreProperties>
</file>